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tabRatio="714" activeTab="0"/>
  </bookViews>
  <sheets>
    <sheet name="Содержание дома 2015" sheetId="1" r:id="rId1"/>
    <sheet name="Целевые расходы 2015" sheetId="2" r:id="rId2"/>
    <sheet name="Категор. сдача в аренду 2015" sheetId="3" r:id="rId3"/>
    <sheet name="Тарифы на работы 2015" sheetId="4" r:id="rId4"/>
  </sheets>
  <definedNames>
    <definedName name="_xlnm._FilterDatabase" localSheetId="0" hidden="1">'Содержание дома 2015'!$B$9:$N$9</definedName>
    <definedName name="_xlnm._FilterDatabase" localSheetId="1" hidden="1">'Целевые расходы 2015'!$C$9:$M$23</definedName>
  </definedNames>
  <calcPr fullCalcOnLoad="1"/>
</workbook>
</file>

<file path=xl/comments1.xml><?xml version="1.0" encoding="utf-8"?>
<comments xmlns="http://schemas.openxmlformats.org/spreadsheetml/2006/main">
  <authors>
    <author>Kuzminov Dmitryi</author>
  </authors>
  <commentList>
    <comment ref="F21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Посчитано по среднему расходу за 2014 год: 24 721,47 руб. за 6 месяцев. Получаем 4120,25.
Увеличиваем, т.к. с ростом оборотов возрастет сумма комиссии.
</t>
        </r>
      </text>
    </comment>
    <comment ref="F22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Согласно договора</t>
        </r>
      </text>
    </comment>
    <comment ref="F23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Работы выполняются только при наличии дополнительного согласования, оформляются документами.</t>
        </r>
      </text>
    </comment>
    <comment ref="F10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Требуется решение правления, текущее вознаграждение 5000руб.</t>
        </r>
      </text>
    </comment>
    <comment ref="F24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По договору</t>
        </r>
      </text>
    </comment>
    <comment ref="F25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Согласно предварительного договора</t>
        </r>
      </text>
    </comment>
    <comment ref="F27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Средний расход за 2014 год деленный на кол-во месяцев
43890 руб. / 6 = 7315
</t>
        </r>
      </text>
    </comment>
    <comment ref="F28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Согласно договора. + ежегодная атестация + страхование</t>
        </r>
      </text>
    </comment>
    <comment ref="F29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Согласно договора</t>
        </r>
      </text>
    </comment>
    <comment ref="F30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1% от оборота (налоговая схема УСН 15% (доходы минус расходы)</t>
        </r>
      </text>
    </comment>
    <comment ref="H45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Добавилось дымоудаление и система пожарного водоснабжения.</t>
        </r>
      </text>
    </comment>
    <comment ref="H44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Добавился домофон, видеорегистратор и общаяя ТВ Антенна</t>
        </r>
      </text>
    </comment>
    <comment ref="H41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По фактическим затратам</t>
        </r>
      </text>
    </comment>
    <comment ref="H42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Изменение договора в октябре 2014 года</t>
        </r>
      </text>
    </comment>
    <comment ref="H43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Учтена ежегодная атестация</t>
        </r>
      </text>
    </comment>
    <comment ref="H46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Увеличение ФОТ</t>
        </r>
      </text>
    </comment>
    <comment ref="H49" authorId="0">
      <text>
        <r>
          <rPr>
            <b/>
            <sz val="9"/>
            <rFont val="Tahoma"/>
            <family val="2"/>
          </rPr>
          <t>Kuzminov Dmitryi:</t>
        </r>
        <r>
          <rPr>
            <sz val="9"/>
            <rFont val="Tahoma"/>
            <family val="2"/>
          </rPr>
          <t xml:space="preserve">
Новая статья</t>
        </r>
      </text>
    </comment>
  </commentList>
</comments>
</file>

<file path=xl/sharedStrings.xml><?xml version="1.0" encoding="utf-8"?>
<sst xmlns="http://schemas.openxmlformats.org/spreadsheetml/2006/main" count="259" uniqueCount="134">
  <si>
    <t>Получатель платежей</t>
  </si>
  <si>
    <t>Назначение расхода</t>
  </si>
  <si>
    <t>Итого</t>
  </si>
  <si>
    <t>Статья</t>
  </si>
  <si>
    <t>В том числе:</t>
  </si>
  <si>
    <t>ТСЖ</t>
  </si>
  <si>
    <t>Председатель правления</t>
  </si>
  <si>
    <t>Содержание жилья</t>
  </si>
  <si>
    <t>Управляющий домом</t>
  </si>
  <si>
    <t>Бухгалтер</t>
  </si>
  <si>
    <t>Дворник</t>
  </si>
  <si>
    <t>Паспортист</t>
  </si>
  <si>
    <t>Уборщица</t>
  </si>
  <si>
    <t>Налоги на фонд оплаты труда (не вкл. УСН)</t>
  </si>
  <si>
    <t>Банковское обслуживание</t>
  </si>
  <si>
    <t>Хознужды, БИП и тд.</t>
  </si>
  <si>
    <t>Ведение учета начислений и оплат, показаний индивидуальных приборов учета в автоматизированной системе</t>
  </si>
  <si>
    <t>НП «Объединенная расчётная система»</t>
  </si>
  <si>
    <t>Обслуживание ППА</t>
  </si>
  <si>
    <t>Вывоз ТБО</t>
  </si>
  <si>
    <t>Обслуживание лифтов</t>
  </si>
  <si>
    <t>ООО "ИЦ Ремтехэксперт"</t>
  </si>
  <si>
    <t>ООО "Охранное предприятие Скиф"</t>
  </si>
  <si>
    <t>Дежурство консьержей</t>
  </si>
  <si>
    <t>Налоги УСН</t>
  </si>
  <si>
    <t>Итого затраты в месяц составляют</t>
  </si>
  <si>
    <t>Тариф на 1 кв.м. жилой (не жилой) площади согласно правоустанавливающих документов</t>
  </si>
  <si>
    <t>Всего:</t>
  </si>
  <si>
    <t>Площадь жилых помещений кв.м.</t>
  </si>
  <si>
    <t>Площадь нежилых помещений кв.м.</t>
  </si>
  <si>
    <t>Общая площадь дома кв.м.</t>
  </si>
  <si>
    <t>Подрядчик (исполнитель работ)</t>
  </si>
  <si>
    <t>ФОТ (на руки)</t>
  </si>
  <si>
    <t>ООО "Маг Груп Новосибирск"</t>
  </si>
  <si>
    <t>Электрика +  ППР (планово-предупредительный ремонт) щитовой + ППР щитовых на этажах</t>
  </si>
  <si>
    <t>ИП Шевченко Михаил Иванович</t>
  </si>
  <si>
    <t>Снятие показаний телового узла и передача контрагенту</t>
  </si>
  <si>
    <t>Проектное финансирование</t>
  </si>
  <si>
    <t>Песок д/детской площадки</t>
  </si>
  <si>
    <t>Благоустройство территории (покраска бардюров, ремонт откоса ливнёвки)</t>
  </si>
  <si>
    <t>Сибирские Сети</t>
  </si>
  <si>
    <t>Ростелеком</t>
  </si>
  <si>
    <t>Аварийное обслуживание по общедомовым коммуникациям, тепло + вода + водоотведение  + автоматика узла. Текущие работы.</t>
  </si>
  <si>
    <t>Сварные и сложные слесарные работы не вошедшие в текущее обслуживание, требующие сварных работ, переделки системы</t>
  </si>
  <si>
    <t>ИП Титовец Олег Дмитриевич</t>
  </si>
  <si>
    <t>Обслуживание входной двери, домофона, общей подъездной антены, видеорегистратора в помещении охраны</t>
  </si>
  <si>
    <r>
      <rPr>
        <b/>
        <sz val="11"/>
        <color indexed="8"/>
        <rFont val="Calibri"/>
        <family val="2"/>
      </rPr>
      <t>Обслуживание систем:</t>
    </r>
    <r>
      <rPr>
        <sz val="11"/>
        <color theme="1"/>
        <rFont val="Calibri"/>
        <family val="2"/>
      </rPr>
      <t xml:space="preserve"> Система пожарной сигнализации; Система дымоудаления и подпора воздуха; Система противопожарного водоснабжения </t>
    </r>
  </si>
  <si>
    <t xml:space="preserve">ООО “Модуль” </t>
  </si>
  <si>
    <t>Охрана</t>
  </si>
  <si>
    <t>Сист. доступа,антена, видеонаб.</t>
  </si>
  <si>
    <t>Тариф 2014</t>
  </si>
  <si>
    <t>Замена мембраны в расширительном баке отопления</t>
  </si>
  <si>
    <t>Дверные проёмы ремонт (подъезд)</t>
  </si>
  <si>
    <t>Дератизиция</t>
  </si>
  <si>
    <t>Дополнительное обслуживание МКД</t>
  </si>
  <si>
    <t>Вывоз снега (ноябрь 2015)</t>
  </si>
  <si>
    <t>Тариф 2015</t>
  </si>
  <si>
    <t>Отклонение</t>
  </si>
  <si>
    <t>Общая сумма расхода по статье в ГОД</t>
  </si>
  <si>
    <t>Модернизация подвальных помещений по разделу (электробезопасность)</t>
  </si>
  <si>
    <t>Тепловая автоматика  (ремонт, доукомплектация, настройка, энергонезавизимость)</t>
  </si>
  <si>
    <t>Энергосбережение (Замена ламп освещения площадок и лестниц на светодиодные)</t>
  </si>
  <si>
    <t>Сист. доступа, антенна, видеонаб.</t>
  </si>
  <si>
    <t>Категория</t>
  </si>
  <si>
    <t>Описание категории</t>
  </si>
  <si>
    <t>А</t>
  </si>
  <si>
    <t>Б</t>
  </si>
  <si>
    <t>С</t>
  </si>
  <si>
    <t>Е</t>
  </si>
  <si>
    <t>Подвал и технический этаж</t>
  </si>
  <si>
    <t>Технические помещения на жилых этажах (кладовка)</t>
  </si>
  <si>
    <t>Ограничения</t>
  </si>
  <si>
    <t xml:space="preserve">Фасад здания, кровля, наружные элементы и  конструкции здания </t>
  </si>
  <si>
    <t>Офисные помещения (первый этаж)</t>
  </si>
  <si>
    <t>Придомовая территория</t>
  </si>
  <si>
    <t>Решение о заключении договора оформляется протоколом правления ТСЖ "Ватутина 12/1"</t>
  </si>
  <si>
    <t>Решение о заключении договора и окончательной цене оформляется протоколом правления ТСЖ "Ватутина 12/1"</t>
  </si>
  <si>
    <t>Решение о заключении договора принимается председателем правления ТСЖ "Ватутина 12/1"</t>
  </si>
  <si>
    <t>Принятие решения</t>
  </si>
  <si>
    <t>Нет ограничений, кроме установленных законодательством РФ.</t>
  </si>
  <si>
    <t>Д</t>
  </si>
  <si>
    <t>Отключение одного стояка холодной воды на 2 часа</t>
  </si>
  <si>
    <t>ТСЖ вправе отказать в оказании услуги в случае причин влияющих на безопасность эксплуатации инженерных систем.</t>
  </si>
  <si>
    <t>ТСЖ вправе отказать в оказании услуги в случае наличия причин влияющих на безопасность эксплуатации инженерных систем.</t>
  </si>
  <si>
    <t xml:space="preserve">Стоимость за 1 кв.м руб. (без учета НДС) </t>
  </si>
  <si>
    <t>Стоимость одной операции руб. (без учета НДС)</t>
  </si>
  <si>
    <t>Описание атегории работы</t>
  </si>
  <si>
    <t>Решение принимается Управляющей ТСЖ "Ватутина 12/1" - оплата производится на безналом на Р.счет ТСЖ "Ватутина 12/1"</t>
  </si>
  <si>
    <t>Статья расходов (ежемесячные)</t>
  </si>
  <si>
    <t>Общая среднемесячноего расхода по статье на всех собственников</t>
  </si>
  <si>
    <t>Итого:</t>
  </si>
  <si>
    <t>Целевые расходы МКД "Ватутина 12/1"</t>
  </si>
  <si>
    <t>Средняя квартира будет стоить:</t>
  </si>
  <si>
    <t>Отключение одного стояка горячей воды на 2 часа</t>
  </si>
  <si>
    <t>Отключение одного стояка Отопления на 2 часа</t>
  </si>
  <si>
    <t>Договор может быть заключен ТОЛЬКО с собственниками ТСЖ "Ватутина 12/1"</t>
  </si>
  <si>
    <t>Ремонт насосов отопления (циркуляция)</t>
  </si>
  <si>
    <t>Замки врезные</t>
  </si>
  <si>
    <t>Доводчики</t>
  </si>
  <si>
    <t>* При изменении схемы размещения отопительных приборов обязателен проект.</t>
  </si>
  <si>
    <t>Тарифы на услуги ТСЖ "Ватутина 12/1" (отключение воды)</t>
  </si>
  <si>
    <t>Тарифы на услуги ТСЖ "Ватутина 12/1" (использование общедомового имущества)</t>
  </si>
  <si>
    <t>Не менее 300</t>
  </si>
  <si>
    <t xml:space="preserve"> Не менее 200</t>
  </si>
  <si>
    <t>Тарифы на содержание жилья 2015 год</t>
  </si>
  <si>
    <t>Статья расходов ( 2015г.)</t>
  </si>
  <si>
    <t>Опслуживание ОПУ</t>
  </si>
  <si>
    <t>Доходная часть</t>
  </si>
  <si>
    <t>Итого общий бюджет доходов-расходов:</t>
  </si>
  <si>
    <t>Изменения к 2014г</t>
  </si>
  <si>
    <t>Комментарии</t>
  </si>
  <si>
    <t>По фактическим затратам 2014 г</t>
  </si>
  <si>
    <t>Изменение договора с октября 2014 года с связи с реструкторизацией управления домом.</t>
  </si>
  <si>
    <t>Учтена ежегодная атестация и страхование. С 01 сентября работают 2 лифта!!!</t>
  </si>
  <si>
    <t>Необходимо обслуживать: Домофон, видеонаблюдение, общую антену, входную дверь (доводчики).</t>
  </si>
  <si>
    <t>Необходимо обслуживать: Систему дымоудаления, систему пожарного подпора воды, систему пожарной сигнализации, контроль за огнетушителями, обслуживание пожарного оборудования на этажах.</t>
  </si>
  <si>
    <t>Учтены расходы на отпуск сотрудников ТСЖ (ранее не учитывались).</t>
  </si>
  <si>
    <t>Смета текущих расходов ТСЖ "Ватутина 12/1" на 2015 год</t>
  </si>
  <si>
    <t>Смета целевых ТСЖ "Ватутина 12/1" на 2015 год</t>
  </si>
  <si>
    <t>Смета 2015 (месяц)</t>
  </si>
  <si>
    <t>Смета 2015 (год)</t>
  </si>
  <si>
    <t>Факт 2015 (год)</t>
  </si>
  <si>
    <t>использование ОД имущества для размещения ИТ оборудования</t>
  </si>
  <si>
    <t>Использование ОД имущества для размещения ИТ оборудования</t>
  </si>
  <si>
    <t>Сдача в аренду подвала</t>
  </si>
  <si>
    <t>Сдача в аренду подсобных помещений на этажах</t>
  </si>
  <si>
    <t>Вывоз снега (февраль, март 2016)</t>
  </si>
  <si>
    <t>Тариф на 1 кв.м. Площади</t>
  </si>
  <si>
    <t>Итого сумма в год бюджет</t>
  </si>
  <si>
    <t>Итого сумма в год фактические расходы</t>
  </si>
  <si>
    <t>Отклонение %</t>
  </si>
  <si>
    <t>Отклонение руб.</t>
  </si>
  <si>
    <t>надо уточнять, ждем акт сверки</t>
  </si>
  <si>
    <t xml:space="preserve">плюс за отключение стояков 16800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</si>
</sst>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1"/>
      <color indexed="8"/>
      <name val="Calibri"/>
      <family val="2"/>
    </font>
    <font>
      <b/>
      <sz val="22"/>
      <color indexed="10"/>
      <name val="Calibri"/>
      <family val="2"/>
    </font>
    <font>
      <b/>
      <sz val="22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22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42" fillId="0" borderId="0" xfId="0" applyFont="1" applyAlignment="1">
      <alignment wrapText="1"/>
    </xf>
    <xf numFmtId="3" fontId="42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wrapText="1"/>
    </xf>
    <xf numFmtId="0" fontId="50" fillId="0" borderId="0" xfId="0" applyFont="1" applyAlignment="1">
      <alignment/>
    </xf>
    <xf numFmtId="173" fontId="42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23" fillId="33" borderId="10" xfId="0" applyFont="1" applyFill="1" applyBorder="1" applyAlignment="1">
      <alignment wrapText="1"/>
    </xf>
    <xf numFmtId="17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33" borderId="1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3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172" fontId="54" fillId="35" borderId="10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0" fontId="53" fillId="33" borderId="10" xfId="0" applyFont="1" applyFill="1" applyBorder="1" applyAlignment="1">
      <alignment wrapText="1"/>
    </xf>
    <xf numFmtId="172" fontId="53" fillId="33" borderId="10" xfId="0" applyNumberFormat="1" applyFont="1" applyFill="1" applyBorder="1" applyAlignment="1">
      <alignment wrapText="1"/>
    </xf>
    <xf numFmtId="172" fontId="56" fillId="33" borderId="10" xfId="0" applyNumberFormat="1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/>
    </xf>
    <xf numFmtId="172" fontId="42" fillId="33" borderId="18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42" fillId="34" borderId="24" xfId="0" applyFont="1" applyFill="1" applyBorder="1" applyAlignment="1">
      <alignment wrapText="1"/>
    </xf>
    <xf numFmtId="172" fontId="5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3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172" fontId="57" fillId="34" borderId="25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50" fillId="33" borderId="26" xfId="0" applyFont="1" applyFill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/>
    </xf>
    <xf numFmtId="172" fontId="50" fillId="33" borderId="11" xfId="0" applyNumberFormat="1" applyFont="1" applyFill="1" applyBorder="1" applyAlignment="1">
      <alignment/>
    </xf>
    <xf numFmtId="172" fontId="42" fillId="0" borderId="0" xfId="0" applyNumberFormat="1" applyFont="1" applyAlignment="1">
      <alignment/>
    </xf>
    <xf numFmtId="173" fontId="42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wrapText="1"/>
    </xf>
    <xf numFmtId="172" fontId="4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33" borderId="10" xfId="0" applyFont="1" applyFill="1" applyBorder="1" applyAlignment="1">
      <alignment wrapText="1"/>
    </xf>
    <xf numFmtId="172" fontId="59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172" fontId="59" fillId="0" borderId="10" xfId="0" applyNumberFormat="1" applyFont="1" applyBorder="1" applyAlignment="1">
      <alignment/>
    </xf>
    <xf numFmtId="172" fontId="42" fillId="34" borderId="10" xfId="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172" fontId="42" fillId="33" borderId="10" xfId="0" applyNumberFormat="1" applyFont="1" applyFill="1" applyBorder="1" applyAlignment="1">
      <alignment/>
    </xf>
    <xf numFmtId="0" fontId="42" fillId="33" borderId="29" xfId="0" applyFont="1" applyFill="1" applyBorder="1" applyAlignment="1">
      <alignment/>
    </xf>
    <xf numFmtId="172" fontId="42" fillId="33" borderId="30" xfId="0" applyNumberFormat="1" applyFont="1" applyFill="1" applyBorder="1" applyAlignment="1">
      <alignment/>
    </xf>
    <xf numFmtId="172" fontId="42" fillId="0" borderId="30" xfId="0" applyNumberFormat="1" applyFont="1" applyBorder="1" applyAlignment="1">
      <alignment/>
    </xf>
    <xf numFmtId="173" fontId="42" fillId="0" borderId="30" xfId="0" applyNumberFormat="1" applyFont="1" applyBorder="1" applyAlignment="1">
      <alignment/>
    </xf>
    <xf numFmtId="0" fontId="0" fillId="0" borderId="20" xfId="0" applyBorder="1" applyAlignment="1">
      <alignment wrapText="1"/>
    </xf>
    <xf numFmtId="172" fontId="0" fillId="33" borderId="20" xfId="0" applyNumberFormat="1" applyFill="1" applyBorder="1" applyAlignment="1">
      <alignment/>
    </xf>
    <xf numFmtId="172" fontId="0" fillId="0" borderId="20" xfId="0" applyNumberFormat="1" applyBorder="1" applyAlignment="1">
      <alignment/>
    </xf>
    <xf numFmtId="172" fontId="0" fillId="34" borderId="20" xfId="0" applyNumberFormat="1" applyFill="1" applyBorder="1" applyAlignment="1">
      <alignment/>
    </xf>
    <xf numFmtId="0" fontId="42" fillId="0" borderId="31" xfId="0" applyFont="1" applyBorder="1" applyAlignment="1">
      <alignment wrapText="1"/>
    </xf>
    <xf numFmtId="0" fontId="42" fillId="33" borderId="32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wrapText="1"/>
    </xf>
    <xf numFmtId="0" fontId="42" fillId="34" borderId="32" xfId="0" applyFont="1" applyFill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20" xfId="0" applyFont="1" applyBorder="1" applyAlignment="1">
      <alignment/>
    </xf>
    <xf numFmtId="0" fontId="42" fillId="0" borderId="33" xfId="0" applyFont="1" applyBorder="1" applyAlignment="1">
      <alignment wrapText="1"/>
    </xf>
    <xf numFmtId="172" fontId="42" fillId="0" borderId="34" xfId="0" applyNumberFormat="1" applyFont="1" applyBorder="1" applyAlignment="1">
      <alignment/>
    </xf>
    <xf numFmtId="0" fontId="42" fillId="0" borderId="34" xfId="0" applyFont="1" applyBorder="1" applyAlignment="1">
      <alignment wrapText="1"/>
    </xf>
    <xf numFmtId="0" fontId="42" fillId="0" borderId="34" xfId="0" applyFont="1" applyBorder="1" applyAlignment="1">
      <alignment/>
    </xf>
    <xf numFmtId="172" fontId="42" fillId="0" borderId="32" xfId="0" applyNumberFormat="1" applyFont="1" applyBorder="1" applyAlignment="1">
      <alignment wrapText="1"/>
    </xf>
    <xf numFmtId="172" fontId="42" fillId="34" borderId="32" xfId="0" applyNumberFormat="1" applyFont="1" applyFill="1" applyBorder="1" applyAlignment="1">
      <alignment wrapText="1"/>
    </xf>
    <xf numFmtId="172" fontId="42" fillId="0" borderId="35" xfId="0" applyNumberFormat="1" applyFont="1" applyBorder="1" applyAlignment="1">
      <alignment wrapText="1"/>
    </xf>
    <xf numFmtId="173" fontId="0" fillId="0" borderId="36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42" fillId="0" borderId="11" xfId="0" applyNumberFormat="1" applyFont="1" applyBorder="1" applyAlignment="1">
      <alignment/>
    </xf>
    <xf numFmtId="173" fontId="59" fillId="0" borderId="11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/>
    </xf>
    <xf numFmtId="0" fontId="53" fillId="0" borderId="37" xfId="0" applyFont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33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60" fillId="0" borderId="39" xfId="0" applyFont="1" applyBorder="1" applyAlignment="1">
      <alignment horizontal="center" wrapText="1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0" fillId="34" borderId="43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60" fillId="0" borderId="44" xfId="0" applyFont="1" applyBorder="1" applyAlignment="1">
      <alignment horizontal="center" wrapText="1"/>
    </xf>
    <xf numFmtId="0" fontId="60" fillId="0" borderId="45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55" fillId="0" borderId="46" xfId="0" applyFont="1" applyFill="1" applyBorder="1" applyAlignment="1">
      <alignment horizontal="center" wrapText="1"/>
    </xf>
    <xf numFmtId="17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N52"/>
  <sheetViews>
    <sheetView tabSelected="1" zoomScalePageLayoutView="0" workbookViewId="0" topLeftCell="E1">
      <pane xSplit="5" ySplit="7" topLeftCell="J25" activePane="bottomRight" state="frozen"/>
      <selection pane="topLeft" activeCell="E1" sqref="E1"/>
      <selection pane="topRight" activeCell="J1" sqref="J1"/>
      <selection pane="bottomLeft" activeCell="E8" sqref="E8"/>
      <selection pane="bottomRight" activeCell="K30" sqref="K30"/>
    </sheetView>
  </sheetViews>
  <sheetFormatPr defaultColWidth="9.140625" defaultRowHeight="15"/>
  <cols>
    <col min="1" max="1" width="0" style="0" hidden="1" customWidth="1"/>
    <col min="2" max="2" width="11.28125" style="0" hidden="1" customWidth="1"/>
    <col min="3" max="3" width="10.7109375" style="0" hidden="1" customWidth="1"/>
    <col min="4" max="4" width="14.7109375" style="1" hidden="1" customWidth="1"/>
    <col min="5" max="5" width="45.57421875" style="1" customWidth="1"/>
    <col min="6" max="6" width="21.421875" style="0" bestFit="1" customWidth="1"/>
    <col min="7" max="7" width="38.140625" style="1" customWidth="1"/>
    <col min="8" max="8" width="31.00390625" style="0" hidden="1" customWidth="1"/>
    <col min="9" max="9" width="37.140625" style="0" hidden="1" customWidth="1"/>
    <col min="10" max="11" width="13.28125" style="0" customWidth="1"/>
    <col min="12" max="12" width="13.7109375" style="0" customWidth="1"/>
    <col min="13" max="13" width="13.28125" style="0" customWidth="1"/>
    <col min="14" max="14" width="19.8515625" style="0" customWidth="1"/>
  </cols>
  <sheetData>
    <row r="1" ht="15"/>
    <row r="2" ht="15.75" thickBot="1"/>
    <row r="3" spans="5:8" ht="25.5" customHeight="1">
      <c r="E3" s="11" t="s">
        <v>28</v>
      </c>
      <c r="F3" s="12">
        <v>8548.4</v>
      </c>
      <c r="G3" s="116" t="s">
        <v>117</v>
      </c>
      <c r="H3" s="117"/>
    </row>
    <row r="4" spans="5:8" ht="25.5" customHeight="1">
      <c r="E4" s="11" t="s">
        <v>29</v>
      </c>
      <c r="F4" s="12">
        <v>632.3</v>
      </c>
      <c r="G4" s="118"/>
      <c r="H4" s="119"/>
    </row>
    <row r="5" spans="5:8" ht="25.5" customHeight="1">
      <c r="E5" s="11" t="s">
        <v>30</v>
      </c>
      <c r="F5" s="12">
        <v>9180.7</v>
      </c>
      <c r="G5" s="118"/>
      <c r="H5" s="119"/>
    </row>
    <row r="6" spans="7:8" ht="11.25" customHeight="1" thickBot="1">
      <c r="G6" s="118"/>
      <c r="H6" s="119"/>
    </row>
    <row r="7" spans="4:14" s="13" customFormat="1" ht="33.75" customHeight="1" thickBot="1">
      <c r="D7" s="11"/>
      <c r="E7" s="94"/>
      <c r="F7" s="95" t="s">
        <v>119</v>
      </c>
      <c r="G7" s="96"/>
      <c r="H7" s="97"/>
      <c r="I7" s="97"/>
      <c r="J7" s="98" t="s">
        <v>120</v>
      </c>
      <c r="K7" s="99" t="s">
        <v>121</v>
      </c>
      <c r="L7" s="98" t="s">
        <v>131</v>
      </c>
      <c r="M7" s="100" t="s">
        <v>130</v>
      </c>
      <c r="N7" s="107" t="s">
        <v>110</v>
      </c>
    </row>
    <row r="8" spans="4:8" ht="20.25" customHeight="1">
      <c r="D8" s="9" t="s">
        <v>0</v>
      </c>
      <c r="E8" s="92" t="s">
        <v>1</v>
      </c>
      <c r="F8" s="93" t="s">
        <v>2</v>
      </c>
      <c r="G8" s="92" t="s">
        <v>31</v>
      </c>
      <c r="H8" s="93" t="s">
        <v>3</v>
      </c>
    </row>
    <row r="9" spans="5:6" ht="15">
      <c r="E9" s="1" t="s">
        <v>4</v>
      </c>
      <c r="F9" s="2"/>
    </row>
    <row r="10" spans="4:14" ht="15">
      <c r="D10" s="14" t="s">
        <v>5</v>
      </c>
      <c r="E10" s="14" t="s">
        <v>6</v>
      </c>
      <c r="F10" s="55">
        <v>8000</v>
      </c>
      <c r="G10" s="14" t="s">
        <v>5</v>
      </c>
      <c r="H10" s="48" t="s">
        <v>7</v>
      </c>
      <c r="I10" s="5"/>
      <c r="J10" s="4">
        <f>F10*12</f>
        <v>96000</v>
      </c>
      <c r="K10" s="8">
        <v>60272.19</v>
      </c>
      <c r="L10" s="4">
        <f>K10-J10</f>
        <v>-35727.81</v>
      </c>
      <c r="M10" s="102">
        <f>L10/J10</f>
        <v>-0.3721646875</v>
      </c>
      <c r="N10" s="105"/>
    </row>
    <row r="11" spans="4:14" ht="15">
      <c r="D11" s="14" t="s">
        <v>5</v>
      </c>
      <c r="E11" s="14" t="s">
        <v>8</v>
      </c>
      <c r="F11" s="55">
        <v>20000</v>
      </c>
      <c r="G11" s="14" t="s">
        <v>5</v>
      </c>
      <c r="H11" s="48" t="s">
        <v>7</v>
      </c>
      <c r="I11" s="5"/>
      <c r="J11" s="4">
        <f aca="true" t="shared" si="0" ref="J11:J35">F11*12</f>
        <v>240000</v>
      </c>
      <c r="K11" s="8">
        <v>210600</v>
      </c>
      <c r="L11" s="4">
        <f aca="true" t="shared" si="1" ref="L11:L35">K11-J11</f>
        <v>-29400</v>
      </c>
      <c r="M11" s="102">
        <f aca="true" t="shared" si="2" ref="M11:M36">L11/J11</f>
        <v>-0.1225</v>
      </c>
      <c r="N11" s="105"/>
    </row>
    <row r="12" spans="4:14" ht="15">
      <c r="D12" s="14" t="s">
        <v>5</v>
      </c>
      <c r="E12" s="14" t="s">
        <v>9</v>
      </c>
      <c r="F12" s="55">
        <v>10000</v>
      </c>
      <c r="G12" s="14" t="s">
        <v>5</v>
      </c>
      <c r="H12" s="48" t="s">
        <v>7</v>
      </c>
      <c r="I12" s="5"/>
      <c r="J12" s="4">
        <f t="shared" si="0"/>
        <v>120000</v>
      </c>
      <c r="K12" s="8">
        <v>104864.7</v>
      </c>
      <c r="L12" s="4">
        <f t="shared" si="1"/>
        <v>-15135.300000000003</v>
      </c>
      <c r="M12" s="102">
        <f t="shared" si="2"/>
        <v>-0.12612750000000003</v>
      </c>
      <c r="N12" s="105"/>
    </row>
    <row r="13" spans="4:14" ht="15">
      <c r="D13" s="14" t="s">
        <v>5</v>
      </c>
      <c r="E13" s="14" t="s">
        <v>10</v>
      </c>
      <c r="F13" s="55">
        <v>12000</v>
      </c>
      <c r="G13" s="14" t="s">
        <v>5</v>
      </c>
      <c r="H13" s="48" t="s">
        <v>7</v>
      </c>
      <c r="I13" s="5"/>
      <c r="J13" s="4">
        <f t="shared" si="0"/>
        <v>144000</v>
      </c>
      <c r="K13" s="8">
        <v>130500</v>
      </c>
      <c r="L13" s="4">
        <f t="shared" si="1"/>
        <v>-13500</v>
      </c>
      <c r="M13" s="102">
        <f t="shared" si="2"/>
        <v>-0.09375</v>
      </c>
      <c r="N13" s="105"/>
    </row>
    <row r="14" spans="4:14" ht="15">
      <c r="D14" s="14" t="s">
        <v>5</v>
      </c>
      <c r="E14" s="14" t="s">
        <v>11</v>
      </c>
      <c r="F14" s="55">
        <v>3329.999999999968</v>
      </c>
      <c r="G14" s="14" t="s">
        <v>5</v>
      </c>
      <c r="H14" s="48" t="s">
        <v>7</v>
      </c>
      <c r="I14" s="5"/>
      <c r="J14" s="4">
        <f t="shared" si="0"/>
        <v>39959.99999999962</v>
      </c>
      <c r="K14" s="8">
        <v>36071.09</v>
      </c>
      <c r="L14" s="4">
        <f t="shared" si="1"/>
        <v>-3888.909999999625</v>
      </c>
      <c r="M14" s="102">
        <f t="shared" si="2"/>
        <v>-0.0973200700700616</v>
      </c>
      <c r="N14" s="105"/>
    </row>
    <row r="15" spans="4:14" ht="15">
      <c r="D15" s="14" t="s">
        <v>5</v>
      </c>
      <c r="E15" s="14" t="s">
        <v>12</v>
      </c>
      <c r="F15" s="55">
        <v>9000</v>
      </c>
      <c r="G15" s="14" t="s">
        <v>5</v>
      </c>
      <c r="H15" s="48" t="s">
        <v>7</v>
      </c>
      <c r="I15" s="5"/>
      <c r="J15" s="4">
        <f t="shared" si="0"/>
        <v>108000</v>
      </c>
      <c r="K15" s="8">
        <v>103354.32</v>
      </c>
      <c r="L15" s="4">
        <f t="shared" si="1"/>
        <v>-4645.679999999993</v>
      </c>
      <c r="M15" s="102">
        <f t="shared" si="2"/>
        <v>-0.04301555555555549</v>
      </c>
      <c r="N15" s="105"/>
    </row>
    <row r="16" spans="4:14" ht="30">
      <c r="D16" s="14" t="s">
        <v>5</v>
      </c>
      <c r="E16" s="14" t="s">
        <v>36</v>
      </c>
      <c r="F16" s="55">
        <v>2000</v>
      </c>
      <c r="G16" s="14" t="s">
        <v>5</v>
      </c>
      <c r="H16" s="48" t="s">
        <v>7</v>
      </c>
      <c r="I16" s="5"/>
      <c r="J16" s="4">
        <f t="shared" si="0"/>
        <v>24000</v>
      </c>
      <c r="K16" s="8">
        <v>24000</v>
      </c>
      <c r="L16" s="4">
        <f t="shared" si="1"/>
        <v>0</v>
      </c>
      <c r="M16" s="102">
        <f t="shared" si="2"/>
        <v>0</v>
      </c>
      <c r="N16" s="105"/>
    </row>
    <row r="17" spans="4:14" s="71" customFormat="1" ht="15">
      <c r="D17" s="72" t="s">
        <v>5</v>
      </c>
      <c r="E17" s="72" t="s">
        <v>32</v>
      </c>
      <c r="F17" s="55">
        <f>SUM(F10:F16)</f>
        <v>64329.99999999997</v>
      </c>
      <c r="G17" s="72" t="s">
        <v>5</v>
      </c>
      <c r="H17" s="74" t="s">
        <v>7</v>
      </c>
      <c r="I17" s="75"/>
      <c r="J17" s="73">
        <f>SUM(J10:J16)</f>
        <v>771959.9999999997</v>
      </c>
      <c r="K17" s="73">
        <f>SUM(K10:K16)</f>
        <v>669662.3</v>
      </c>
      <c r="L17" s="76">
        <f t="shared" si="1"/>
        <v>-102297.6999999996</v>
      </c>
      <c r="M17" s="104">
        <f t="shared" si="2"/>
        <v>-0.13251684025078975</v>
      </c>
      <c r="N17" s="70"/>
    </row>
    <row r="18" spans="4:14" ht="30">
      <c r="D18" s="14" t="s">
        <v>5</v>
      </c>
      <c r="E18" s="14" t="s">
        <v>13</v>
      </c>
      <c r="F18" s="55">
        <f>F17*0.4</f>
        <v>25731.99999999999</v>
      </c>
      <c r="G18" s="14" t="s">
        <v>5</v>
      </c>
      <c r="H18" s="48" t="s">
        <v>7</v>
      </c>
      <c r="I18" s="5"/>
      <c r="J18" s="4">
        <f t="shared" si="0"/>
        <v>308783.9999999999</v>
      </c>
      <c r="K18" s="8">
        <v>258700.3</v>
      </c>
      <c r="L18" s="4">
        <f t="shared" si="1"/>
        <v>-50083.699999999895</v>
      </c>
      <c r="M18" s="102">
        <f t="shared" si="2"/>
        <v>-0.16219655163479946</v>
      </c>
      <c r="N18" s="105"/>
    </row>
    <row r="19" spans="4:14" ht="15">
      <c r="D19" s="14" t="s">
        <v>5</v>
      </c>
      <c r="E19" s="14" t="s">
        <v>14</v>
      </c>
      <c r="F19" s="55">
        <v>2000</v>
      </c>
      <c r="G19" s="14" t="s">
        <v>5</v>
      </c>
      <c r="H19" s="48" t="s">
        <v>7</v>
      </c>
      <c r="I19" s="5"/>
      <c r="J19" s="4">
        <f t="shared" si="0"/>
        <v>24000</v>
      </c>
      <c r="K19" s="8">
        <v>24418.56</v>
      </c>
      <c r="L19" s="4">
        <f t="shared" si="1"/>
        <v>418.5600000000013</v>
      </c>
      <c r="M19" s="102">
        <f t="shared" si="2"/>
        <v>0.017440000000000056</v>
      </c>
      <c r="N19" s="105"/>
    </row>
    <row r="20" spans="4:14" ht="15">
      <c r="D20" s="14" t="s">
        <v>5</v>
      </c>
      <c r="E20" s="14" t="s">
        <v>15</v>
      </c>
      <c r="F20" s="55">
        <v>5000</v>
      </c>
      <c r="G20" s="14" t="s">
        <v>5</v>
      </c>
      <c r="H20" s="48" t="s">
        <v>7</v>
      </c>
      <c r="I20" s="5"/>
      <c r="J20" s="4">
        <f t="shared" si="0"/>
        <v>60000</v>
      </c>
      <c r="K20" s="8">
        <v>81895.01</v>
      </c>
      <c r="L20" s="4">
        <f t="shared" si="1"/>
        <v>21895.009999999995</v>
      </c>
      <c r="M20" s="102">
        <f t="shared" si="2"/>
        <v>0.36491683333333325</v>
      </c>
      <c r="N20" s="105"/>
    </row>
    <row r="21" spans="4:14" ht="45">
      <c r="D21" s="14" t="s">
        <v>5</v>
      </c>
      <c r="E21" s="14" t="s">
        <v>16</v>
      </c>
      <c r="F21" s="55">
        <f>24721.47/6*1.2</f>
        <v>4944.294</v>
      </c>
      <c r="G21" s="14" t="s">
        <v>17</v>
      </c>
      <c r="H21" s="48" t="s">
        <v>7</v>
      </c>
      <c r="I21" s="5"/>
      <c r="J21" s="4">
        <f t="shared" si="0"/>
        <v>59331.528</v>
      </c>
      <c r="K21" s="8">
        <v>73221.74</v>
      </c>
      <c r="L21" s="4">
        <f t="shared" si="1"/>
        <v>13890.212000000007</v>
      </c>
      <c r="M21" s="102">
        <f t="shared" si="2"/>
        <v>0.23411181994166755</v>
      </c>
      <c r="N21" s="105"/>
    </row>
    <row r="22" spans="4:14" ht="60">
      <c r="D22" s="14" t="s">
        <v>5</v>
      </c>
      <c r="E22" s="14" t="s">
        <v>42</v>
      </c>
      <c r="F22" s="55">
        <v>21000</v>
      </c>
      <c r="G22" s="14" t="s">
        <v>35</v>
      </c>
      <c r="H22" s="48" t="s">
        <v>7</v>
      </c>
      <c r="I22" s="5"/>
      <c r="J22" s="4">
        <f t="shared" si="0"/>
        <v>252000</v>
      </c>
      <c r="K22" s="8">
        <v>228000</v>
      </c>
      <c r="L22" s="4">
        <f t="shared" si="1"/>
        <v>-24000</v>
      </c>
      <c r="M22" s="102">
        <f t="shared" si="2"/>
        <v>-0.09523809523809523</v>
      </c>
      <c r="N22" s="105"/>
    </row>
    <row r="23" spans="4:14" ht="60">
      <c r="D23" s="14" t="s">
        <v>5</v>
      </c>
      <c r="E23" s="14" t="s">
        <v>43</v>
      </c>
      <c r="F23" s="55">
        <v>5000</v>
      </c>
      <c r="G23" s="14" t="s">
        <v>35</v>
      </c>
      <c r="H23" s="48" t="s">
        <v>7</v>
      </c>
      <c r="I23" s="5"/>
      <c r="J23" s="4">
        <f t="shared" si="0"/>
        <v>60000</v>
      </c>
      <c r="K23" s="8">
        <v>15880</v>
      </c>
      <c r="L23" s="4">
        <f t="shared" si="1"/>
        <v>-44120</v>
      </c>
      <c r="M23" s="102">
        <f t="shared" si="2"/>
        <v>-0.7353333333333333</v>
      </c>
      <c r="N23" s="105" t="s">
        <v>132</v>
      </c>
    </row>
    <row r="24" spans="4:14" ht="45">
      <c r="D24" s="14" t="s">
        <v>5</v>
      </c>
      <c r="E24" s="14" t="s">
        <v>34</v>
      </c>
      <c r="F24" s="55">
        <v>12000</v>
      </c>
      <c r="G24" s="14" t="s">
        <v>44</v>
      </c>
      <c r="H24" s="48" t="s">
        <v>7</v>
      </c>
      <c r="I24" s="5"/>
      <c r="J24" s="4">
        <f t="shared" si="0"/>
        <v>144000</v>
      </c>
      <c r="K24" s="8">
        <v>122000.01</v>
      </c>
      <c r="L24" s="4">
        <f t="shared" si="1"/>
        <v>-21999.990000000005</v>
      </c>
      <c r="M24" s="102">
        <f t="shared" si="2"/>
        <v>-0.15277770833333337</v>
      </c>
      <c r="N24" s="105"/>
    </row>
    <row r="25" spans="4:14" s="15" customFormat="1" ht="75">
      <c r="D25" s="14" t="s">
        <v>5</v>
      </c>
      <c r="E25" s="14" t="s">
        <v>49</v>
      </c>
      <c r="F25" s="55">
        <v>10000</v>
      </c>
      <c r="G25" s="14" t="s">
        <v>21</v>
      </c>
      <c r="H25" s="14" t="s">
        <v>45</v>
      </c>
      <c r="I25" s="48"/>
      <c r="J25" s="4">
        <f t="shared" si="0"/>
        <v>120000</v>
      </c>
      <c r="K25" s="8">
        <v>72000</v>
      </c>
      <c r="L25" s="4">
        <f t="shared" si="1"/>
        <v>-48000</v>
      </c>
      <c r="M25" s="102">
        <f t="shared" si="2"/>
        <v>-0.4</v>
      </c>
      <c r="N25" s="106"/>
    </row>
    <row r="26" spans="4:14" s="15" customFormat="1" ht="60">
      <c r="D26" s="14" t="s">
        <v>5</v>
      </c>
      <c r="E26" s="49" t="s">
        <v>46</v>
      </c>
      <c r="F26" s="55">
        <v>6200</v>
      </c>
      <c r="G26" s="14" t="s">
        <v>47</v>
      </c>
      <c r="H26" s="48" t="s">
        <v>18</v>
      </c>
      <c r="I26" s="48"/>
      <c r="J26" s="4">
        <f t="shared" si="0"/>
        <v>74400</v>
      </c>
      <c r="K26" s="8">
        <v>63040</v>
      </c>
      <c r="L26" s="4">
        <f t="shared" si="1"/>
        <v>-11360</v>
      </c>
      <c r="M26" s="102">
        <f t="shared" si="2"/>
        <v>-0.15268817204301074</v>
      </c>
      <c r="N26" s="106"/>
    </row>
    <row r="27" spans="4:14" ht="15">
      <c r="D27" s="14" t="s">
        <v>5</v>
      </c>
      <c r="E27" s="49" t="s">
        <v>19</v>
      </c>
      <c r="F27" s="55">
        <f>43890/6*1.41</f>
        <v>10314.15</v>
      </c>
      <c r="G27" s="14" t="s">
        <v>33</v>
      </c>
      <c r="H27" s="48" t="s">
        <v>19</v>
      </c>
      <c r="I27" s="5"/>
      <c r="J27" s="4">
        <f t="shared" si="0"/>
        <v>123769.79999999999</v>
      </c>
      <c r="K27" s="8">
        <v>76362</v>
      </c>
      <c r="L27" s="4">
        <f t="shared" si="1"/>
        <v>-47407.79999999999</v>
      </c>
      <c r="M27" s="102">
        <f t="shared" si="2"/>
        <v>-0.38303204820562037</v>
      </c>
      <c r="N27" s="105"/>
    </row>
    <row r="28" spans="4:14" ht="15">
      <c r="D28" s="14" t="s">
        <v>5</v>
      </c>
      <c r="E28" s="49" t="s">
        <v>20</v>
      </c>
      <c r="F28" s="55">
        <f>9500+6000/12+5000/12</f>
        <v>10416.666666666666</v>
      </c>
      <c r="G28" s="14" t="s">
        <v>21</v>
      </c>
      <c r="H28" s="48" t="s">
        <v>20</v>
      </c>
      <c r="I28" s="5"/>
      <c r="J28" s="4">
        <f t="shared" si="0"/>
        <v>125000</v>
      </c>
      <c r="K28" s="8">
        <v>121772</v>
      </c>
      <c r="L28" s="4">
        <f t="shared" si="1"/>
        <v>-3228</v>
      </c>
      <c r="M28" s="102">
        <f t="shared" si="2"/>
        <v>-0.025824</v>
      </c>
      <c r="N28" s="105"/>
    </row>
    <row r="29" spans="4:14" ht="30">
      <c r="D29" s="14" t="s">
        <v>5</v>
      </c>
      <c r="E29" s="49" t="s">
        <v>48</v>
      </c>
      <c r="F29" s="55">
        <v>40000</v>
      </c>
      <c r="G29" s="14" t="s">
        <v>22</v>
      </c>
      <c r="H29" s="48" t="s">
        <v>23</v>
      </c>
      <c r="I29" s="5"/>
      <c r="J29" s="4">
        <f t="shared" si="0"/>
        <v>480000</v>
      </c>
      <c r="K29" s="8">
        <v>480000</v>
      </c>
      <c r="L29" s="4">
        <f t="shared" si="1"/>
        <v>0</v>
      </c>
      <c r="M29" s="102">
        <f t="shared" si="2"/>
        <v>0</v>
      </c>
      <c r="N29" s="105"/>
    </row>
    <row r="30" spans="4:14" ht="15">
      <c r="D30" s="14" t="s">
        <v>5</v>
      </c>
      <c r="E30" s="49" t="s">
        <v>24</v>
      </c>
      <c r="F30" s="55">
        <f>SUM(F17:F29)*1%</f>
        <v>2169.371106666666</v>
      </c>
      <c r="G30" s="14" t="s">
        <v>5</v>
      </c>
      <c r="H30" s="48" t="s">
        <v>7</v>
      </c>
      <c r="I30" s="5"/>
      <c r="J30" s="4">
        <f t="shared" si="0"/>
        <v>26032.453279999994</v>
      </c>
      <c r="K30" s="8">
        <v>4920</v>
      </c>
      <c r="L30" s="4">
        <f t="shared" si="1"/>
        <v>-21112.453279999994</v>
      </c>
      <c r="M30" s="102">
        <f t="shared" si="2"/>
        <v>-0.811005134741569</v>
      </c>
      <c r="N30" s="105"/>
    </row>
    <row r="31" spans="4:14" s="13" customFormat="1" ht="15">
      <c r="D31" s="115" t="s">
        <v>107</v>
      </c>
      <c r="E31" s="115"/>
      <c r="F31" s="115"/>
      <c r="G31" s="115"/>
      <c r="H31" s="115"/>
      <c r="I31" s="60"/>
      <c r="J31" s="69">
        <f t="shared" si="0"/>
        <v>0</v>
      </c>
      <c r="K31" s="77"/>
      <c r="L31" s="69">
        <f t="shared" si="1"/>
        <v>0</v>
      </c>
      <c r="M31" s="103" t="e">
        <f t="shared" si="2"/>
        <v>#DIV/0!</v>
      </c>
      <c r="N31" s="70"/>
    </row>
    <row r="32" spans="4:14" ht="30">
      <c r="D32" s="68"/>
      <c r="E32" s="68" t="s">
        <v>125</v>
      </c>
      <c r="F32" s="68"/>
      <c r="G32" s="68"/>
      <c r="H32" s="68"/>
      <c r="I32" s="5"/>
      <c r="J32" s="4">
        <v>0</v>
      </c>
      <c r="K32" s="8">
        <v>-3800</v>
      </c>
      <c r="L32" s="4">
        <f t="shared" si="1"/>
        <v>-3800</v>
      </c>
      <c r="M32" s="102" t="e">
        <f t="shared" si="2"/>
        <v>#DIV/0!</v>
      </c>
      <c r="N32" s="105" t="s">
        <v>133</v>
      </c>
    </row>
    <row r="33" spans="4:14" ht="15">
      <c r="D33" s="68"/>
      <c r="E33" s="68" t="s">
        <v>124</v>
      </c>
      <c r="F33" s="68"/>
      <c r="G33" s="68"/>
      <c r="H33" s="68"/>
      <c r="I33" s="5"/>
      <c r="J33" s="4">
        <v>0</v>
      </c>
      <c r="K33" s="8">
        <v>-132660</v>
      </c>
      <c r="L33" s="4">
        <f t="shared" si="1"/>
        <v>-132660</v>
      </c>
      <c r="M33" s="102" t="e">
        <f t="shared" si="2"/>
        <v>#DIV/0!</v>
      </c>
      <c r="N33" s="105"/>
    </row>
    <row r="34" spans="4:14" ht="30">
      <c r="D34" s="3" t="s">
        <v>41</v>
      </c>
      <c r="E34" s="3" t="s">
        <v>123</v>
      </c>
      <c r="F34" s="4">
        <v>-1000</v>
      </c>
      <c r="G34" s="3"/>
      <c r="H34" s="5"/>
      <c r="I34" s="5"/>
      <c r="J34" s="4">
        <f t="shared" si="0"/>
        <v>-12000</v>
      </c>
      <c r="K34" s="8">
        <v>-12000</v>
      </c>
      <c r="L34" s="4">
        <f t="shared" si="1"/>
        <v>0</v>
      </c>
      <c r="M34" s="102">
        <f t="shared" si="2"/>
        <v>0</v>
      </c>
      <c r="N34" s="105"/>
    </row>
    <row r="35" spans="4:14" ht="30">
      <c r="D35" s="3" t="s">
        <v>40</v>
      </c>
      <c r="E35" s="3" t="s">
        <v>122</v>
      </c>
      <c r="F35" s="4">
        <v>-1000</v>
      </c>
      <c r="G35" s="3"/>
      <c r="H35" s="5"/>
      <c r="I35" s="5"/>
      <c r="J35" s="4">
        <f t="shared" si="0"/>
        <v>-12000</v>
      </c>
      <c r="K35" s="8">
        <v>-12000</v>
      </c>
      <c r="L35" s="4">
        <f t="shared" si="1"/>
        <v>0</v>
      </c>
      <c r="M35" s="102">
        <f t="shared" si="2"/>
        <v>0</v>
      </c>
      <c r="N35" s="105"/>
    </row>
    <row r="36" spans="4:13" s="13" customFormat="1" ht="30">
      <c r="D36" s="11"/>
      <c r="E36" s="11" t="s">
        <v>108</v>
      </c>
      <c r="F36" s="66">
        <f>SUM(F18:F35)+F17</f>
        <v>217106.48177333327</v>
      </c>
      <c r="G36" s="11"/>
      <c r="J36" s="66">
        <f>SUM(J18:J35)+J17</f>
        <v>2605277.7812799998</v>
      </c>
      <c r="K36" s="66">
        <f>SUM(K18:K35)+K17</f>
        <v>2131411.92</v>
      </c>
      <c r="L36" s="69">
        <f>K36-J36</f>
        <v>-473865.86127999984</v>
      </c>
      <c r="M36" s="67">
        <f t="shared" si="2"/>
        <v>-0.18188688541579803</v>
      </c>
    </row>
    <row r="37" ht="15"/>
    <row r="38" ht="15.75" thickBot="1"/>
    <row r="39" spans="5:7" ht="15.75" thickBot="1">
      <c r="E39" s="120" t="s">
        <v>104</v>
      </c>
      <c r="F39" s="121"/>
      <c r="G39" s="122"/>
    </row>
    <row r="40" spans="2:9" ht="60.75" thickBot="1">
      <c r="B40" s="112" t="s">
        <v>50</v>
      </c>
      <c r="C40" s="113"/>
      <c r="D40" s="114"/>
      <c r="E40" s="61" t="s">
        <v>88</v>
      </c>
      <c r="F40" s="62" t="s">
        <v>89</v>
      </c>
      <c r="G40" s="63" t="s">
        <v>26</v>
      </c>
      <c r="H40" s="58" t="s">
        <v>109</v>
      </c>
      <c r="I40" s="58" t="s">
        <v>110</v>
      </c>
    </row>
    <row r="41" spans="2:9" ht="19.5" customHeight="1">
      <c r="B41" s="123" t="s">
        <v>19</v>
      </c>
      <c r="C41" s="124"/>
      <c r="D41" s="50">
        <v>1.02</v>
      </c>
      <c r="E41" s="64" t="str">
        <f>E27</f>
        <v>Вывоз ТБО</v>
      </c>
      <c r="F41" s="54">
        <f>ROUND(VLOOKUP(E27,E10:G30,2,0),2)</f>
        <v>10314.15</v>
      </c>
      <c r="G41" s="65">
        <f aca="true" t="shared" si="3" ref="G41:G46">ROUND(F41/$F$5,2)</f>
        <v>1.12</v>
      </c>
      <c r="H41" s="56">
        <f aca="true" t="shared" si="4" ref="H41:H47">(G41-D41)/D41</f>
        <v>0.09803921568627459</v>
      </c>
      <c r="I41" s="57" t="s">
        <v>111</v>
      </c>
    </row>
    <row r="42" spans="2:9" ht="19.5" customHeight="1">
      <c r="B42" s="108" t="s">
        <v>48</v>
      </c>
      <c r="C42" s="109"/>
      <c r="D42" s="51">
        <v>3.64</v>
      </c>
      <c r="E42" s="64" t="str">
        <f>E29</f>
        <v>Охрана</v>
      </c>
      <c r="F42" s="54">
        <f>ROUND(VLOOKUP(E29,E10:G30,2,0),2)</f>
        <v>40000</v>
      </c>
      <c r="G42" s="65">
        <f>ROUND(F42/$F$5,2)</f>
        <v>4.36</v>
      </c>
      <c r="H42" s="56">
        <f t="shared" si="4"/>
        <v>0.19780219780219785</v>
      </c>
      <c r="I42" s="57" t="s">
        <v>112</v>
      </c>
    </row>
    <row r="43" spans="2:9" ht="19.5" customHeight="1">
      <c r="B43" s="108" t="s">
        <v>20</v>
      </c>
      <c r="C43" s="109"/>
      <c r="D43" s="51">
        <v>1.03</v>
      </c>
      <c r="E43" s="64" t="str">
        <f>E28</f>
        <v>Обслуживание лифтов</v>
      </c>
      <c r="F43" s="54">
        <f>ROUND(VLOOKUP(E28,E10:G29,2,0),2)</f>
        <v>10416.67</v>
      </c>
      <c r="G43" s="65">
        <f t="shared" si="3"/>
        <v>1.13</v>
      </c>
      <c r="H43" s="56">
        <f t="shared" si="4"/>
        <v>0.09708737864077657</v>
      </c>
      <c r="I43" s="57" t="s">
        <v>113</v>
      </c>
    </row>
    <row r="44" spans="2:9" ht="19.5" customHeight="1">
      <c r="B44" s="108" t="s">
        <v>106</v>
      </c>
      <c r="C44" s="109"/>
      <c r="D44" s="51">
        <v>0.45</v>
      </c>
      <c r="E44" s="64" t="s">
        <v>62</v>
      </c>
      <c r="F44" s="54">
        <f>ROUND(VLOOKUP(E28,E10:G29,2,0),2)</f>
        <v>10416.67</v>
      </c>
      <c r="G44" s="65">
        <f>ROUND(F44/$F$5,2)</f>
        <v>1.13</v>
      </c>
      <c r="H44" s="56">
        <f t="shared" si="4"/>
        <v>1.5111111111111108</v>
      </c>
      <c r="I44" s="57" t="s">
        <v>114</v>
      </c>
    </row>
    <row r="45" spans="2:9" ht="19.5" customHeight="1">
      <c r="B45" s="108" t="s">
        <v>18</v>
      </c>
      <c r="C45" s="109"/>
      <c r="D45" s="51">
        <v>0.28</v>
      </c>
      <c r="E45" s="64" t="s">
        <v>18</v>
      </c>
      <c r="F45" s="54">
        <f>ROUND(VLOOKUP(E26,E12:G36,2,0),2)</f>
        <v>6200</v>
      </c>
      <c r="G45" s="65">
        <f t="shared" si="3"/>
        <v>0.68</v>
      </c>
      <c r="H45" s="56">
        <f t="shared" si="4"/>
        <v>1.4285714285714286</v>
      </c>
      <c r="I45" s="57" t="s">
        <v>115</v>
      </c>
    </row>
    <row r="46" spans="2:9" ht="19.5" customHeight="1" thickBot="1">
      <c r="B46" s="110" t="s">
        <v>7</v>
      </c>
      <c r="C46" s="111"/>
      <c r="D46" s="52">
        <v>14.22</v>
      </c>
      <c r="E46" s="64" t="s">
        <v>7</v>
      </c>
      <c r="F46" s="54">
        <f>F36-F41-F42-F43-F45-F44</f>
        <v>139758.99177333325</v>
      </c>
      <c r="G46" s="65">
        <f t="shared" si="3"/>
        <v>15.22</v>
      </c>
      <c r="H46" s="56">
        <f t="shared" si="4"/>
        <v>0.07032348804500703</v>
      </c>
      <c r="I46" s="57" t="s">
        <v>116</v>
      </c>
    </row>
    <row r="47" spans="4:9" s="13" customFormat="1" ht="29.25" thickBot="1">
      <c r="D47" s="53">
        <f>SUM(D41:D46)</f>
        <v>20.64</v>
      </c>
      <c r="E47" s="46" t="s">
        <v>90</v>
      </c>
      <c r="F47" s="47">
        <f>SUM(F41:F46)</f>
        <v>217106.48177333327</v>
      </c>
      <c r="G47" s="59">
        <f>SUM(G41:G46)</f>
        <v>23.64</v>
      </c>
      <c r="H47" s="56">
        <f t="shared" si="4"/>
        <v>0.14534883720930233</v>
      </c>
      <c r="I47" s="57"/>
    </row>
    <row r="48" spans="4:8" s="13" customFormat="1" ht="45" hidden="1">
      <c r="D48" s="11"/>
      <c r="E48" s="44" t="s">
        <v>105</v>
      </c>
      <c r="F48" s="44" t="s">
        <v>58</v>
      </c>
      <c r="G48" s="45" t="s">
        <v>26</v>
      </c>
      <c r="H48" s="18" t="s">
        <v>92</v>
      </c>
    </row>
    <row r="49" spans="4:8" s="25" customFormat="1" ht="28.5" customHeight="1" hidden="1">
      <c r="D49" s="24"/>
      <c r="E49" s="41" t="s">
        <v>91</v>
      </c>
      <c r="F49" s="42">
        <f>'Целевые расходы 2015'!G40</f>
        <v>241420</v>
      </c>
      <c r="G49" s="43">
        <f>ROUND(F49/$F$5,2)</f>
        <v>26.3</v>
      </c>
      <c r="H49" s="39">
        <f>G49*55</f>
        <v>1446.5</v>
      </c>
    </row>
    <row r="50" ht="15"/>
    <row r="51" spans="2:4" ht="15">
      <c r="B51" s="5" t="s">
        <v>50</v>
      </c>
      <c r="C51" s="5" t="s">
        <v>56</v>
      </c>
      <c r="D51" s="5" t="s">
        <v>57</v>
      </c>
    </row>
    <row r="52" spans="2:4" ht="15">
      <c r="B52" s="5">
        <v>20.64</v>
      </c>
      <c r="C52" s="5">
        <v>23.64</v>
      </c>
      <c r="D52" s="26">
        <f>C52/B52-1</f>
        <v>0.14534883720930236</v>
      </c>
    </row>
    <row r="53" ht="15"/>
    <row r="54" ht="15"/>
  </sheetData>
  <sheetProtection/>
  <autoFilter ref="B9:N9"/>
  <mergeCells count="10">
    <mergeCell ref="B45:C45"/>
    <mergeCell ref="B46:C46"/>
    <mergeCell ref="B40:D40"/>
    <mergeCell ref="D31:H31"/>
    <mergeCell ref="G3:H6"/>
    <mergeCell ref="E39:G39"/>
    <mergeCell ref="B41:C41"/>
    <mergeCell ref="B42:C42"/>
    <mergeCell ref="B43:C43"/>
    <mergeCell ref="B44:C44"/>
  </mergeCells>
  <conditionalFormatting sqref="L10:L35">
    <cfRule type="cellIs" priority="7" dxfId="14" operator="lessThan" stopIfTrue="1">
      <formula>0</formula>
    </cfRule>
    <cfRule type="cellIs" priority="8" dxfId="15" operator="greaterThan" stopIfTrue="1">
      <formula>0</formula>
    </cfRule>
  </conditionalFormatting>
  <conditionalFormatting sqref="M10:M36">
    <cfRule type="cellIs" priority="5" dxfId="14" operator="lessThan" stopIfTrue="1">
      <formula>0</formula>
    </cfRule>
    <cfRule type="cellIs" priority="6" dxfId="15" operator="greaterThan" stopIfTrue="1">
      <formula>0</formula>
    </cfRule>
  </conditionalFormatting>
  <conditionalFormatting sqref="L36">
    <cfRule type="cellIs" priority="3" dxfId="14" operator="lessThan" stopIfTrue="1">
      <formula>0</formula>
    </cfRule>
    <cfRule type="cellIs" priority="4" dxfId="15" operator="greaterThan" stopIfTrue="1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D3:M40"/>
  <sheetViews>
    <sheetView zoomScalePageLayoutView="0" workbookViewId="0" topLeftCell="A3">
      <pane xSplit="7" ySplit="26" topLeftCell="H32" activePane="bottomRight" state="frozen"/>
      <selection pane="topLeft" activeCell="A3" sqref="A3"/>
      <selection pane="topRight" activeCell="H3" sqref="H3"/>
      <selection pane="bottomLeft" activeCell="A28" sqref="A28"/>
      <selection pane="bottomRight" activeCell="H38" sqref="H38"/>
    </sheetView>
  </sheetViews>
  <sheetFormatPr defaultColWidth="9.140625" defaultRowHeight="15"/>
  <cols>
    <col min="1" max="3" width="4.421875" style="0" customWidth="1"/>
    <col min="4" max="4" width="4.421875" style="1" customWidth="1"/>
    <col min="5" max="5" width="43.140625" style="1" customWidth="1"/>
    <col min="6" max="6" width="15.8515625" style="0" customWidth="1"/>
    <col min="7" max="7" width="16.28125" style="1" customWidth="1"/>
    <col min="8" max="8" width="18.140625" style="0" customWidth="1"/>
    <col min="9" max="10" width="15.140625" style="0" customWidth="1"/>
    <col min="11" max="11" width="29.00390625" style="0" customWidth="1"/>
    <col min="12" max="12" width="12.8515625" style="0" customWidth="1"/>
    <col min="13" max="13" width="11.28125" style="0" customWidth="1"/>
  </cols>
  <sheetData>
    <row r="1" ht="6" customHeight="1"/>
    <row r="2" ht="6" customHeight="1" thickBot="1"/>
    <row r="3" spans="5:8" ht="21.75" customHeight="1">
      <c r="E3" s="11" t="s">
        <v>28</v>
      </c>
      <c r="F3" s="12">
        <v>8548.4</v>
      </c>
      <c r="G3" s="116" t="s">
        <v>118</v>
      </c>
      <c r="H3" s="117"/>
    </row>
    <row r="4" spans="5:8" ht="21.75" customHeight="1">
      <c r="E4" s="11" t="s">
        <v>29</v>
      </c>
      <c r="F4" s="12">
        <v>632.3</v>
      </c>
      <c r="G4" s="118"/>
      <c r="H4" s="119"/>
    </row>
    <row r="5" spans="5:8" ht="21.75" customHeight="1">
      <c r="E5" s="11" t="s">
        <v>30</v>
      </c>
      <c r="F5" s="12">
        <v>9180.7</v>
      </c>
      <c r="G5" s="118"/>
      <c r="H5" s="119"/>
    </row>
    <row r="6" spans="7:8" ht="15.75" thickBot="1">
      <c r="G6" s="125"/>
      <c r="H6" s="126"/>
    </row>
    <row r="7" ht="15" hidden="1"/>
    <row r="8" spans="4:8" ht="187.5" hidden="1">
      <c r="D8" s="9" t="s">
        <v>0</v>
      </c>
      <c r="E8" s="9" t="s">
        <v>1</v>
      </c>
      <c r="F8" s="10" t="s">
        <v>2</v>
      </c>
      <c r="G8" s="9" t="s">
        <v>31</v>
      </c>
      <c r="H8" s="10" t="s">
        <v>3</v>
      </c>
    </row>
    <row r="9" spans="5:6" ht="15" hidden="1">
      <c r="E9" s="1" t="s">
        <v>4</v>
      </c>
      <c r="F9" s="2"/>
    </row>
    <row r="10" spans="4:13" ht="30" hidden="1">
      <c r="D10" s="3" t="s">
        <v>5</v>
      </c>
      <c r="E10" s="3" t="s">
        <v>39</v>
      </c>
      <c r="F10" s="4">
        <v>15000</v>
      </c>
      <c r="G10" s="3"/>
      <c r="H10" s="5" t="s">
        <v>37</v>
      </c>
      <c r="M10" s="6"/>
    </row>
    <row r="11" spans="4:10" s="17" customFormat="1" ht="30" hidden="1">
      <c r="D11" s="3" t="s">
        <v>5</v>
      </c>
      <c r="E11" s="3" t="s">
        <v>59</v>
      </c>
      <c r="F11" s="4">
        <v>10000</v>
      </c>
      <c r="G11" s="3"/>
      <c r="H11" s="5" t="s">
        <v>37</v>
      </c>
      <c r="I11"/>
      <c r="J11"/>
    </row>
    <row r="12" spans="4:8" ht="45" hidden="1">
      <c r="D12" s="3" t="s">
        <v>5</v>
      </c>
      <c r="E12" s="16" t="s">
        <v>60</v>
      </c>
      <c r="F12" s="4">
        <v>30000</v>
      </c>
      <c r="G12" s="3"/>
      <c r="H12" s="5" t="s">
        <v>37</v>
      </c>
    </row>
    <row r="13" spans="4:8" ht="30" hidden="1">
      <c r="D13" s="3" t="s">
        <v>5</v>
      </c>
      <c r="E13" s="16" t="s">
        <v>51</v>
      </c>
      <c r="F13" s="4">
        <v>46000</v>
      </c>
      <c r="G13" s="3"/>
      <c r="H13" s="5"/>
    </row>
    <row r="14" spans="4:8" ht="30" hidden="1">
      <c r="D14" s="3" t="s">
        <v>5</v>
      </c>
      <c r="E14" s="16" t="s">
        <v>38</v>
      </c>
      <c r="F14" s="4">
        <v>8000</v>
      </c>
      <c r="G14" s="3"/>
      <c r="H14" s="5" t="s">
        <v>37</v>
      </c>
    </row>
    <row r="15" spans="4:9" s="17" customFormat="1" ht="43.5" customHeight="1" hidden="1">
      <c r="D15" s="19" t="s">
        <v>5</v>
      </c>
      <c r="E15" s="20" t="s">
        <v>61</v>
      </c>
      <c r="F15" s="21">
        <f>9*18*160</f>
        <v>25920</v>
      </c>
      <c r="G15" s="20"/>
      <c r="H15" s="22" t="s">
        <v>37</v>
      </c>
      <c r="I15"/>
    </row>
    <row r="16" spans="4:9" s="17" customFormat="1" ht="30" hidden="1">
      <c r="D16" s="19" t="s">
        <v>5</v>
      </c>
      <c r="E16" s="20" t="s">
        <v>53</v>
      </c>
      <c r="F16" s="21">
        <v>4000</v>
      </c>
      <c r="G16" s="20"/>
      <c r="H16" s="22" t="s">
        <v>37</v>
      </c>
      <c r="I16"/>
    </row>
    <row r="17" spans="4:9" s="13" customFormat="1" ht="30" hidden="1">
      <c r="D17" s="19" t="s">
        <v>5</v>
      </c>
      <c r="E17" s="20" t="s">
        <v>96</v>
      </c>
      <c r="F17" s="21">
        <v>20000</v>
      </c>
      <c r="G17" s="23"/>
      <c r="H17" s="22" t="s">
        <v>37</v>
      </c>
      <c r="I17"/>
    </row>
    <row r="18" spans="4:8" ht="30" hidden="1">
      <c r="D18" s="3" t="s">
        <v>5</v>
      </c>
      <c r="E18" s="14" t="s">
        <v>52</v>
      </c>
      <c r="F18" s="4">
        <v>2500</v>
      </c>
      <c r="G18" s="14"/>
      <c r="H18" s="5" t="s">
        <v>37</v>
      </c>
    </row>
    <row r="19" spans="4:8" ht="30" hidden="1">
      <c r="D19" s="3" t="s">
        <v>5</v>
      </c>
      <c r="E19" s="14" t="s">
        <v>97</v>
      </c>
      <c r="F19" s="4">
        <v>8000</v>
      </c>
      <c r="G19" s="14"/>
      <c r="H19" s="5" t="s">
        <v>37</v>
      </c>
    </row>
    <row r="20" spans="4:8" ht="30" hidden="1">
      <c r="D20" s="3" t="s">
        <v>5</v>
      </c>
      <c r="E20" s="14" t="s">
        <v>98</v>
      </c>
      <c r="F20" s="4">
        <v>15000</v>
      </c>
      <c r="G20" s="14"/>
      <c r="H20" s="5" t="s">
        <v>37</v>
      </c>
    </row>
    <row r="21" spans="4:8" ht="30" hidden="1">
      <c r="D21" s="3" t="s">
        <v>5</v>
      </c>
      <c r="E21" s="14" t="s">
        <v>126</v>
      </c>
      <c r="F21" s="4">
        <v>50000</v>
      </c>
      <c r="G21" s="14"/>
      <c r="H21" s="5" t="s">
        <v>37</v>
      </c>
    </row>
    <row r="22" spans="4:8" ht="30" hidden="1">
      <c r="D22" s="3" t="s">
        <v>5</v>
      </c>
      <c r="E22" s="14" t="s">
        <v>55</v>
      </c>
      <c r="F22" s="4">
        <v>30000</v>
      </c>
      <c r="G22" s="14"/>
      <c r="H22" s="5" t="s">
        <v>37</v>
      </c>
    </row>
    <row r="23" spans="5:6" ht="15" hidden="1">
      <c r="E23" s="1" t="s">
        <v>25</v>
      </c>
      <c r="F23" s="2">
        <f>SUM(F10:F22)</f>
        <v>264420</v>
      </c>
    </row>
    <row r="24" ht="15" hidden="1"/>
    <row r="25" ht="15" hidden="1"/>
    <row r="27" spans="4:10" s="13" customFormat="1" ht="13.5" customHeight="1" thickBot="1">
      <c r="D27" s="11"/>
      <c r="E27" s="80" t="s">
        <v>27</v>
      </c>
      <c r="F27" s="81">
        <f>F40</f>
        <v>26.299999999999997</v>
      </c>
      <c r="G27" s="81">
        <f>G40</f>
        <v>241420</v>
      </c>
      <c r="H27" s="81">
        <f>H40</f>
        <v>156843.8</v>
      </c>
      <c r="I27" s="82">
        <f>I40</f>
        <v>-84576.20000000001</v>
      </c>
      <c r="J27" s="83">
        <f>J40</f>
        <v>-0.35032805898434266</v>
      </c>
    </row>
    <row r="28" spans="4:11" s="25" customFormat="1" ht="45.75" thickBot="1">
      <c r="D28" s="24"/>
      <c r="E28" s="88" t="s">
        <v>54</v>
      </c>
      <c r="F28" s="89" t="s">
        <v>127</v>
      </c>
      <c r="G28" s="90" t="s">
        <v>128</v>
      </c>
      <c r="H28" s="91" t="s">
        <v>129</v>
      </c>
      <c r="I28" s="98" t="s">
        <v>131</v>
      </c>
      <c r="J28" s="100" t="s">
        <v>130</v>
      </c>
      <c r="K28" s="70" t="s">
        <v>110</v>
      </c>
    </row>
    <row r="29" spans="5:11" ht="30">
      <c r="E29" s="84" t="s">
        <v>39</v>
      </c>
      <c r="F29" s="85">
        <f aca="true" t="shared" si="0" ref="F29:F39">ROUND(G29/$F$5,2)</f>
        <v>1.63</v>
      </c>
      <c r="G29" s="86">
        <f aca="true" t="shared" si="1" ref="G29:G39">VLOOKUP(E29,$E$10:$F$22,2,)</f>
        <v>15000</v>
      </c>
      <c r="H29" s="87">
        <v>36872.8</v>
      </c>
      <c r="I29" s="86">
        <f>H29-G29</f>
        <v>21872.800000000003</v>
      </c>
      <c r="J29" s="101">
        <f>I29/G29</f>
        <v>1.458186666666667</v>
      </c>
      <c r="K29" s="5"/>
    </row>
    <row r="30" spans="5:11" ht="30">
      <c r="E30" s="3" t="s">
        <v>59</v>
      </c>
      <c r="F30" s="7">
        <f t="shared" si="0"/>
        <v>1.09</v>
      </c>
      <c r="G30" s="4">
        <f t="shared" si="1"/>
        <v>10000</v>
      </c>
      <c r="H30" s="8">
        <v>9900</v>
      </c>
      <c r="I30" s="4">
        <f aca="true" t="shared" si="2" ref="I30:I40">H30-G30</f>
        <v>-100</v>
      </c>
      <c r="J30" s="102">
        <f aca="true" t="shared" si="3" ref="J30:J40">I30/G30</f>
        <v>-0.01</v>
      </c>
      <c r="K30" s="5"/>
    </row>
    <row r="31" spans="5:11" ht="45">
      <c r="E31" s="16" t="s">
        <v>60</v>
      </c>
      <c r="F31" s="7">
        <f t="shared" si="0"/>
        <v>3.27</v>
      </c>
      <c r="G31" s="4">
        <f t="shared" si="1"/>
        <v>30000</v>
      </c>
      <c r="H31" s="8">
        <v>26239.5</v>
      </c>
      <c r="I31" s="4">
        <f t="shared" si="2"/>
        <v>-3760.5</v>
      </c>
      <c r="J31" s="102">
        <f t="shared" si="3"/>
        <v>-0.12535</v>
      </c>
      <c r="K31" s="5"/>
    </row>
    <row r="32" spans="5:11" ht="30">
      <c r="E32" s="16" t="s">
        <v>51</v>
      </c>
      <c r="F32" s="7">
        <f t="shared" si="0"/>
        <v>5.01</v>
      </c>
      <c r="G32" s="4">
        <f t="shared" si="1"/>
        <v>46000</v>
      </c>
      <c r="H32" s="8">
        <v>200</v>
      </c>
      <c r="I32" s="4">
        <f t="shared" si="2"/>
        <v>-45800</v>
      </c>
      <c r="J32" s="102">
        <f t="shared" si="3"/>
        <v>-0.9956521739130435</v>
      </c>
      <c r="K32" s="5"/>
    </row>
    <row r="33" spans="5:11" ht="15">
      <c r="E33" s="16" t="s">
        <v>38</v>
      </c>
      <c r="F33" s="7">
        <f t="shared" si="0"/>
        <v>0.87</v>
      </c>
      <c r="G33" s="4">
        <f t="shared" si="1"/>
        <v>8000</v>
      </c>
      <c r="H33" s="8">
        <v>0</v>
      </c>
      <c r="I33" s="4">
        <f t="shared" si="2"/>
        <v>-8000</v>
      </c>
      <c r="J33" s="102">
        <f t="shared" si="3"/>
        <v>-1</v>
      </c>
      <c r="K33" s="5"/>
    </row>
    <row r="34" spans="5:11" ht="37.5" customHeight="1">
      <c r="E34" s="20" t="s">
        <v>61</v>
      </c>
      <c r="F34" s="7">
        <f t="shared" si="0"/>
        <v>2.82</v>
      </c>
      <c r="G34" s="4">
        <f t="shared" si="1"/>
        <v>25920</v>
      </c>
      <c r="H34" s="8">
        <v>14940</v>
      </c>
      <c r="I34" s="4">
        <f t="shared" si="2"/>
        <v>-10980</v>
      </c>
      <c r="J34" s="102">
        <f t="shared" si="3"/>
        <v>-0.4236111111111111</v>
      </c>
      <c r="K34" s="5"/>
    </row>
    <row r="35" spans="5:11" ht="15">
      <c r="E35" s="20" t="s">
        <v>53</v>
      </c>
      <c r="F35" s="7">
        <f t="shared" si="0"/>
        <v>0.44</v>
      </c>
      <c r="G35" s="4">
        <f t="shared" si="1"/>
        <v>4000</v>
      </c>
      <c r="H35" s="8">
        <v>0</v>
      </c>
      <c r="I35" s="4">
        <f t="shared" si="2"/>
        <v>-4000</v>
      </c>
      <c r="J35" s="102">
        <f t="shared" si="3"/>
        <v>-1</v>
      </c>
      <c r="K35" s="5"/>
    </row>
    <row r="36" spans="5:11" ht="15">
      <c r="E36" s="20" t="s">
        <v>96</v>
      </c>
      <c r="F36" s="7">
        <f t="shared" si="0"/>
        <v>2.18</v>
      </c>
      <c r="G36" s="4">
        <f t="shared" si="1"/>
        <v>20000</v>
      </c>
      <c r="H36" s="8">
        <v>33091.5</v>
      </c>
      <c r="I36" s="4">
        <f t="shared" si="2"/>
        <v>13091.5</v>
      </c>
      <c r="J36" s="102">
        <f t="shared" si="3"/>
        <v>0.654575</v>
      </c>
      <c r="K36" s="5"/>
    </row>
    <row r="37" spans="5:11" ht="15">
      <c r="E37" s="14" t="s">
        <v>52</v>
      </c>
      <c r="F37" s="7">
        <f t="shared" si="0"/>
        <v>0.27</v>
      </c>
      <c r="G37" s="4">
        <f t="shared" si="1"/>
        <v>2500</v>
      </c>
      <c r="H37" s="8">
        <v>0</v>
      </c>
      <c r="I37" s="4">
        <f t="shared" si="2"/>
        <v>-2500</v>
      </c>
      <c r="J37" s="102">
        <f t="shared" si="3"/>
        <v>-1</v>
      </c>
      <c r="K37" s="5"/>
    </row>
    <row r="38" spans="5:11" ht="15">
      <c r="E38" s="14" t="s">
        <v>126</v>
      </c>
      <c r="F38" s="7">
        <f t="shared" si="0"/>
        <v>5.45</v>
      </c>
      <c r="G38" s="4">
        <f t="shared" si="1"/>
        <v>50000</v>
      </c>
      <c r="H38" s="8">
        <v>35600</v>
      </c>
      <c r="I38" s="4">
        <f t="shared" si="2"/>
        <v>-14400</v>
      </c>
      <c r="J38" s="102">
        <f t="shared" si="3"/>
        <v>-0.288</v>
      </c>
      <c r="K38" s="132">
        <v>42036</v>
      </c>
    </row>
    <row r="39" spans="5:11" ht="15">
      <c r="E39" s="14" t="s">
        <v>55</v>
      </c>
      <c r="F39" s="7">
        <f t="shared" si="0"/>
        <v>3.27</v>
      </c>
      <c r="G39" s="4">
        <f t="shared" si="1"/>
        <v>30000</v>
      </c>
      <c r="H39" s="8">
        <v>0</v>
      </c>
      <c r="I39" s="4">
        <f t="shared" si="2"/>
        <v>-30000</v>
      </c>
      <c r="J39" s="102">
        <f t="shared" si="3"/>
        <v>-1</v>
      </c>
      <c r="K39" s="5"/>
    </row>
    <row r="40" spans="4:11" s="13" customFormat="1" ht="13.5" customHeight="1">
      <c r="D40" s="11"/>
      <c r="E40" s="78" t="s">
        <v>27</v>
      </c>
      <c r="F40" s="79">
        <f>SUM(F29:F39)</f>
        <v>26.299999999999997</v>
      </c>
      <c r="G40" s="79">
        <f>SUM(G29:G39)</f>
        <v>241420</v>
      </c>
      <c r="H40" s="79">
        <f>SUM(H29:H39)</f>
        <v>156843.8</v>
      </c>
      <c r="I40" s="69">
        <f t="shared" si="2"/>
        <v>-84576.20000000001</v>
      </c>
      <c r="J40" s="103">
        <f t="shared" si="3"/>
        <v>-0.35032805898434266</v>
      </c>
      <c r="K40" s="60"/>
    </row>
  </sheetData>
  <sheetProtection/>
  <autoFilter ref="C9:M23"/>
  <mergeCells count="1">
    <mergeCell ref="G3:H6"/>
  </mergeCells>
  <conditionalFormatting sqref="J27">
    <cfRule type="cellIs" priority="1" dxfId="14" operator="lessThan" stopIfTrue="1">
      <formula>0</formula>
    </cfRule>
    <cfRule type="cellIs" priority="2" dxfId="15" operator="greaterThan" stopIfTrue="1">
      <formula>0</formula>
    </cfRule>
  </conditionalFormatting>
  <conditionalFormatting sqref="I29:I40">
    <cfRule type="cellIs" priority="11" dxfId="14" operator="lessThan" stopIfTrue="1">
      <formula>0</formula>
    </cfRule>
    <cfRule type="cellIs" priority="12" dxfId="15" operator="greaterThan" stopIfTrue="1">
      <formula>0</formula>
    </cfRule>
  </conditionalFormatting>
  <conditionalFormatting sqref="J29:J40">
    <cfRule type="cellIs" priority="9" dxfId="14" operator="lessThan" stopIfTrue="1">
      <formula>0</formula>
    </cfRule>
    <cfRule type="cellIs" priority="10" dxfId="15" operator="greaterThan" stopIfTrue="1">
      <formula>0</formula>
    </cfRule>
  </conditionalFormatting>
  <conditionalFormatting sqref="I27">
    <cfRule type="cellIs" priority="3" dxfId="14" operator="lessThan" stopIfTrue="1">
      <formula>0</formula>
    </cfRule>
    <cfRule type="cellIs" priority="4" dxfId="1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F8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10.28125" style="0" bestFit="1" customWidth="1"/>
    <col min="3" max="3" width="29.421875" style="0" customWidth="1"/>
    <col min="4" max="4" width="13.421875" style="0" customWidth="1"/>
    <col min="5" max="5" width="45.57421875" style="0" customWidth="1"/>
    <col min="6" max="6" width="42.140625" style="0" customWidth="1"/>
  </cols>
  <sheetData>
    <row r="1" ht="15.75" thickBot="1"/>
    <row r="2" spans="2:6" ht="15.75" thickBot="1">
      <c r="B2" s="127" t="s">
        <v>101</v>
      </c>
      <c r="C2" s="128"/>
      <c r="D2" s="128"/>
      <c r="E2" s="128"/>
      <c r="F2" s="129"/>
    </row>
    <row r="3" spans="2:6" s="1" customFormat="1" ht="60">
      <c r="B3" s="28" t="s">
        <v>63</v>
      </c>
      <c r="C3" s="29" t="s">
        <v>64</v>
      </c>
      <c r="D3" s="29" t="s">
        <v>84</v>
      </c>
      <c r="E3" s="30" t="s">
        <v>78</v>
      </c>
      <c r="F3" s="31" t="s">
        <v>71</v>
      </c>
    </row>
    <row r="4" spans="2:6" s="1" customFormat="1" ht="45">
      <c r="B4" s="32" t="s">
        <v>65</v>
      </c>
      <c r="C4" s="3" t="s">
        <v>72</v>
      </c>
      <c r="D4" s="27" t="s">
        <v>102</v>
      </c>
      <c r="E4" s="3" t="s">
        <v>75</v>
      </c>
      <c r="F4" s="33" t="s">
        <v>79</v>
      </c>
    </row>
    <row r="5" spans="2:6" s="1" customFormat="1" ht="45">
      <c r="B5" s="32" t="s">
        <v>66</v>
      </c>
      <c r="C5" s="3" t="s">
        <v>69</v>
      </c>
      <c r="D5" s="27" t="s">
        <v>103</v>
      </c>
      <c r="E5" s="3" t="s">
        <v>76</v>
      </c>
      <c r="F5" s="33" t="s">
        <v>79</v>
      </c>
    </row>
    <row r="6" spans="2:6" s="1" customFormat="1" ht="45">
      <c r="B6" s="32" t="s">
        <v>67</v>
      </c>
      <c r="C6" s="3" t="s">
        <v>70</v>
      </c>
      <c r="D6" s="27">
        <v>50</v>
      </c>
      <c r="E6" s="3" t="s">
        <v>77</v>
      </c>
      <c r="F6" s="34" t="s">
        <v>95</v>
      </c>
    </row>
    <row r="7" spans="2:6" s="1" customFormat="1" ht="45">
      <c r="B7" s="32" t="s">
        <v>80</v>
      </c>
      <c r="C7" s="3" t="s">
        <v>73</v>
      </c>
      <c r="D7" s="27" t="s">
        <v>102</v>
      </c>
      <c r="E7" s="3" t="s">
        <v>76</v>
      </c>
      <c r="F7" s="33" t="s">
        <v>79</v>
      </c>
    </row>
    <row r="8" spans="2:6" s="1" customFormat="1" ht="30.75" thickBot="1">
      <c r="B8" s="35" t="s">
        <v>68</v>
      </c>
      <c r="C8" s="36" t="s">
        <v>74</v>
      </c>
      <c r="D8" s="37" t="s">
        <v>103</v>
      </c>
      <c r="E8" s="36" t="s">
        <v>75</v>
      </c>
      <c r="F8" s="38" t="s">
        <v>79</v>
      </c>
    </row>
    <row r="9" s="1" customFormat="1" ht="15"/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F7"/>
  <sheetViews>
    <sheetView zoomScalePageLayoutView="0" workbookViewId="0" topLeftCell="A7">
      <selection activeCell="O10" sqref="O10"/>
    </sheetView>
  </sheetViews>
  <sheetFormatPr defaultColWidth="9.140625" defaultRowHeight="15"/>
  <cols>
    <col min="2" max="2" width="10.28125" style="0" bestFit="1" customWidth="1"/>
    <col min="3" max="3" width="26.57421875" style="0" customWidth="1"/>
    <col min="4" max="4" width="18.7109375" style="0" customWidth="1"/>
    <col min="5" max="5" width="29.28125" style="0" customWidth="1"/>
    <col min="6" max="6" width="38.00390625" style="0" customWidth="1"/>
  </cols>
  <sheetData>
    <row r="2" spans="2:6" ht="15.75" thickBot="1">
      <c r="B2" s="130" t="s">
        <v>100</v>
      </c>
      <c r="C2" s="130"/>
      <c r="D2" s="130"/>
      <c r="E2" s="130"/>
      <c r="F2" s="130"/>
    </row>
    <row r="3" spans="2:6" ht="45">
      <c r="B3" s="28" t="s">
        <v>63</v>
      </c>
      <c r="C3" s="29" t="s">
        <v>86</v>
      </c>
      <c r="D3" s="29" t="s">
        <v>85</v>
      </c>
      <c r="E3" s="30" t="s">
        <v>78</v>
      </c>
      <c r="F3" s="31" t="s">
        <v>71</v>
      </c>
    </row>
    <row r="4" spans="2:6" ht="75">
      <c r="B4" s="32" t="s">
        <v>65</v>
      </c>
      <c r="C4" s="3" t="s">
        <v>81</v>
      </c>
      <c r="D4" s="27">
        <v>300</v>
      </c>
      <c r="E4" s="3" t="s">
        <v>87</v>
      </c>
      <c r="F4" s="33" t="s">
        <v>83</v>
      </c>
    </row>
    <row r="5" spans="2:6" ht="75">
      <c r="B5" s="32" t="s">
        <v>66</v>
      </c>
      <c r="C5" s="3" t="s">
        <v>93</v>
      </c>
      <c r="D5" s="27">
        <v>400</v>
      </c>
      <c r="E5" s="3" t="s">
        <v>87</v>
      </c>
      <c r="F5" s="33" t="s">
        <v>82</v>
      </c>
    </row>
    <row r="6" spans="2:6" ht="75.75" thickBot="1">
      <c r="B6" s="35" t="s">
        <v>67</v>
      </c>
      <c r="C6" s="36" t="s">
        <v>94</v>
      </c>
      <c r="D6" s="37">
        <v>600</v>
      </c>
      <c r="E6" s="36" t="s">
        <v>87</v>
      </c>
      <c r="F6" s="38" t="s">
        <v>82</v>
      </c>
    </row>
    <row r="7" spans="2:6" s="40" customFormat="1" ht="15">
      <c r="B7" s="131" t="s">
        <v>99</v>
      </c>
      <c r="C7" s="131"/>
      <c r="D7" s="131"/>
      <c r="E7" s="131"/>
      <c r="F7" s="131"/>
    </row>
  </sheetData>
  <sheetProtection/>
  <mergeCells count="2">
    <mergeCell ref="B2:F2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Кузьминов Дмитрий Серафимович</dc:creator>
  <cp:keywords/>
  <dc:description/>
  <cp:lastModifiedBy>rita</cp:lastModifiedBy>
  <cp:lastPrinted>2015-03-06T05:44:27Z</cp:lastPrinted>
  <dcterms:created xsi:type="dcterms:W3CDTF">2014-05-13T11:40:59Z</dcterms:created>
  <dcterms:modified xsi:type="dcterms:W3CDTF">2016-03-03T06:30:31Z</dcterms:modified>
  <cp:category/>
  <cp:version/>
  <cp:contentType/>
  <cp:contentStatus/>
</cp:coreProperties>
</file>